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17100" windowHeight="10110" activeTab="0"/>
  </bookViews>
  <sheets>
    <sheet name="Лист1" sheetId="1" r:id="rId1"/>
    <sheet name="Rating System" sheetId="2" r:id="rId2"/>
  </sheets>
  <definedNames/>
  <calcPr fullCalcOnLoad="1"/>
</workbook>
</file>

<file path=xl/sharedStrings.xml><?xml version="1.0" encoding="utf-8"?>
<sst xmlns="http://schemas.openxmlformats.org/spreadsheetml/2006/main" count="119" uniqueCount="82">
  <si>
    <t>Rating</t>
  </si>
  <si>
    <t>Test</t>
  </si>
  <si>
    <t>Avg</t>
  </si>
  <si>
    <t>Avg/Cnt</t>
  </si>
  <si>
    <t>Exp</t>
  </si>
  <si>
    <t>Exp*</t>
  </si>
  <si>
    <t>W</t>
  </si>
  <si>
    <t>D</t>
  </si>
  <si>
    <t>G</t>
  </si>
  <si>
    <t>Pts</t>
  </si>
  <si>
    <t>Res</t>
  </si>
  <si>
    <t>dr</t>
  </si>
  <si>
    <t>dr*</t>
  </si>
  <si>
    <t>NetPoints</t>
  </si>
  <si>
    <t>ЦСКА</t>
  </si>
  <si>
    <t>Спартак</t>
  </si>
  <si>
    <t>Локо</t>
  </si>
  <si>
    <t>Сатурн</t>
  </si>
  <si>
    <t>КС</t>
  </si>
  <si>
    <t>Динамо</t>
  </si>
  <si>
    <t>Зенит</t>
  </si>
  <si>
    <t>Рубин</t>
  </si>
  <si>
    <t>Шинник</t>
  </si>
  <si>
    <t>Черноморец</t>
  </si>
  <si>
    <t>Ростов</t>
  </si>
  <si>
    <t>Торпедо</t>
  </si>
  <si>
    <t>Алания</t>
  </si>
  <si>
    <t>Тормет</t>
  </si>
  <si>
    <t>Уралан</t>
  </si>
  <si>
    <t>Ротор</t>
  </si>
  <si>
    <t>Avg Rating</t>
  </si>
  <si>
    <t xml:space="preserve"> - средний рейтинг</t>
  </si>
  <si>
    <t>Minimum</t>
  </si>
  <si>
    <t>Matches</t>
  </si>
  <si>
    <t xml:space="preserve"> - число матчей каждой команды в чемпионате</t>
  </si>
  <si>
    <t>Sum</t>
  </si>
  <si>
    <t>Sum Points</t>
  </si>
  <si>
    <t xml:space="preserve"> - сумма разыгрываемых сетевых очков (150 по системе 27-21-18)</t>
  </si>
  <si>
    <t>Sum/Sum Points</t>
  </si>
  <si>
    <t xml:space="preserve"> - вводимая величина</t>
  </si>
  <si>
    <t xml:space="preserve"> - расчетная величина</t>
  </si>
  <si>
    <t>W - число побед</t>
  </si>
  <si>
    <t>D - число ничьих</t>
  </si>
  <si>
    <t>G - разница мячей</t>
  </si>
  <si>
    <t>Rating - "сила команды"</t>
  </si>
  <si>
    <t>Exp - ожидаемый результат команды в чемпионате</t>
  </si>
  <si>
    <t>Pts = W * 3 + D</t>
  </si>
  <si>
    <t>Res - результат, показанный командой в чемпионате</t>
  </si>
  <si>
    <t>Dr* - "поправка к силе", переведенная в положительную область значений для дальнейшего расчета итоговых зачетных сетевых очков</t>
  </si>
  <si>
    <t>NetPoints - результат команды, итоговые зачетные сетевые очки (Dr*, приведенное к Sum Points)</t>
  </si>
  <si>
    <t>Dr - "поправка к силе" - расчетная величина успешности выступления команды</t>
  </si>
  <si>
    <t>Prd</t>
  </si>
  <si>
    <t>Prd - расчетное количество очков ("норматив")</t>
  </si>
  <si>
    <t>Test - количество очков по прогонкам (поставить = Prd в случае, если тестовых прогонок не делается)</t>
  </si>
  <si>
    <t>Avg - плановое количество очков (=(Prd+Test)/2)</t>
  </si>
  <si>
    <t>Exp* - ожидаемый результат с поправкой на коэффициент расхождения Prd и Avg</t>
  </si>
  <si>
    <t>CSKA Moscow</t>
  </si>
  <si>
    <t>Zenit</t>
  </si>
  <si>
    <t>Rubin</t>
  </si>
  <si>
    <t>Kuban</t>
  </si>
  <si>
    <t>Dinamo Moscow</t>
  </si>
  <si>
    <t>Rostov</t>
  </si>
  <si>
    <t>Krasnodar</t>
  </si>
  <si>
    <t>Lokomotiv Moscow</t>
  </si>
  <si>
    <t>Krylja Sovetov</t>
  </si>
  <si>
    <t>Anji</t>
  </si>
  <si>
    <t>Spartak Moscow</t>
  </si>
  <si>
    <t>Amkar</t>
  </si>
  <si>
    <t>Terek</t>
  </si>
  <si>
    <t>Volga NN</t>
  </si>
  <si>
    <t>Ural</t>
  </si>
  <si>
    <t>Tom</t>
  </si>
  <si>
    <t>Результат первого прогона</t>
  </si>
  <si>
    <t>Поз</t>
  </si>
  <si>
    <t>Команда</t>
  </si>
  <si>
    <t>И</t>
  </si>
  <si>
    <t>В</t>
  </si>
  <si>
    <t>Н</t>
  </si>
  <si>
    <t>П</t>
  </si>
  <si>
    <t>+/-</t>
  </si>
  <si>
    <t>Очк</t>
  </si>
  <si>
    <t>Таблица норматива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</si>
</sst>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0.00000000000000000"/>
    <numFmt numFmtId="172" formatCode="0.0000000000000000"/>
    <numFmt numFmtId="173" formatCode="0.000000000000000"/>
    <numFmt numFmtId="174" formatCode="0.00000000000000"/>
    <numFmt numFmtId="175" formatCode="0.0000000000000"/>
    <numFmt numFmtId="176" formatCode="0.000000000000"/>
    <numFmt numFmtId="177" formatCode="0.00000000000"/>
    <numFmt numFmtId="178" formatCode="0.0000000000"/>
    <numFmt numFmtId="179" formatCode="0.000000000"/>
  </numFmts>
  <fonts count="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i/>
      <sz val="10"/>
      <name val="Arial Cyr"/>
      <family val="2"/>
    </font>
    <font>
      <sz val="8"/>
      <name val="Arial Cyr"/>
      <family val="0"/>
    </font>
  </fonts>
  <fills count="1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3" fillId="2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0" fillId="2" borderId="0" xfId="0" applyFill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2" fontId="0" fillId="4" borderId="2" xfId="0" applyNumberFormat="1" applyFill="1" applyBorder="1" applyAlignment="1">
      <alignment/>
    </xf>
    <xf numFmtId="2" fontId="0" fillId="5" borderId="2" xfId="0" applyNumberFormat="1" applyFill="1" applyBorder="1" applyAlignment="1">
      <alignment/>
    </xf>
    <xf numFmtId="169" fontId="0" fillId="5" borderId="2" xfId="0" applyNumberFormat="1" applyFill="1" applyBorder="1" applyAlignment="1">
      <alignment/>
    </xf>
    <xf numFmtId="0" fontId="0" fillId="4" borderId="2" xfId="0" applyFill="1" applyBorder="1" applyAlignment="1">
      <alignment/>
    </xf>
    <xf numFmtId="0" fontId="0" fillId="5" borderId="2" xfId="0" applyFill="1" applyBorder="1" applyAlignment="1">
      <alignment/>
    </xf>
    <xf numFmtId="1" fontId="3" fillId="5" borderId="3" xfId="0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2" fontId="0" fillId="4" borderId="5" xfId="0" applyNumberFormat="1" applyFill="1" applyBorder="1" applyAlignment="1">
      <alignment/>
    </xf>
    <xf numFmtId="2" fontId="0" fillId="5" borderId="5" xfId="0" applyNumberFormat="1" applyFill="1" applyBorder="1" applyAlignment="1">
      <alignment/>
    </xf>
    <xf numFmtId="169" fontId="0" fillId="5" borderId="5" xfId="0" applyNumberFormat="1" applyFill="1" applyBorder="1" applyAlignment="1">
      <alignment/>
    </xf>
    <xf numFmtId="0" fontId="0" fillId="4" borderId="5" xfId="0" applyFill="1" applyBorder="1" applyAlignment="1">
      <alignment/>
    </xf>
    <xf numFmtId="0" fontId="0" fillId="5" borderId="5" xfId="0" applyFill="1" applyBorder="1" applyAlignment="1">
      <alignment/>
    </xf>
    <xf numFmtId="1" fontId="3" fillId="5" borderId="6" xfId="0" applyNumberFormat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169" fontId="0" fillId="2" borderId="0" xfId="0" applyNumberFormat="1" applyFill="1" applyAlignment="1">
      <alignment/>
    </xf>
    <xf numFmtId="0" fontId="4" fillId="2" borderId="0" xfId="0" applyFont="1" applyFill="1" applyAlignment="1">
      <alignment/>
    </xf>
    <xf numFmtId="169" fontId="4" fillId="5" borderId="2" xfId="0" applyNumberFormat="1" applyFont="1" applyFill="1" applyBorder="1" applyAlignment="1">
      <alignment/>
    </xf>
    <xf numFmtId="0" fontId="4" fillId="5" borderId="2" xfId="0" applyFont="1" applyFill="1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2" fontId="0" fillId="4" borderId="8" xfId="0" applyNumberFormat="1" applyFill="1" applyBorder="1" applyAlignment="1">
      <alignment/>
    </xf>
    <xf numFmtId="2" fontId="0" fillId="5" borderId="8" xfId="0" applyNumberFormat="1" applyFill="1" applyBorder="1" applyAlignment="1">
      <alignment/>
    </xf>
    <xf numFmtId="169" fontId="0" fillId="5" borderId="8" xfId="0" applyNumberFormat="1" applyFill="1" applyBorder="1" applyAlignment="1">
      <alignment/>
    </xf>
    <xf numFmtId="0" fontId="0" fillId="4" borderId="8" xfId="0" applyFill="1" applyBorder="1" applyAlignment="1">
      <alignment/>
    </xf>
    <xf numFmtId="0" fontId="0" fillId="5" borderId="8" xfId="0" applyFill="1" applyBorder="1" applyAlignment="1">
      <alignment/>
    </xf>
    <xf numFmtId="1" fontId="3" fillId="5" borderId="9" xfId="0" applyNumberFormat="1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2" fontId="0" fillId="2" borderId="0" xfId="0" applyNumberFormat="1" applyFill="1" applyAlignment="1">
      <alignment/>
    </xf>
    <xf numFmtId="0" fontId="3" fillId="0" borderId="2" xfId="0" applyFont="1" applyBorder="1" applyAlignment="1">
      <alignment/>
    </xf>
    <xf numFmtId="170" fontId="3" fillId="6" borderId="2" xfId="0" applyNumberFormat="1" applyFont="1" applyFill="1" applyBorder="1" applyAlignment="1">
      <alignment/>
    </xf>
    <xf numFmtId="170" fontId="3" fillId="7" borderId="2" xfId="0" applyNumberFormat="1" applyFont="1" applyFill="1" applyBorder="1" applyAlignment="1">
      <alignment/>
    </xf>
    <xf numFmtId="170" fontId="3" fillId="8" borderId="2" xfId="0" applyNumberFormat="1" applyFont="1" applyFill="1" applyBorder="1" applyAlignment="1">
      <alignment/>
    </xf>
    <xf numFmtId="170" fontId="3" fillId="9" borderId="2" xfId="0" applyNumberFormat="1" applyFont="1" applyFill="1" applyBorder="1" applyAlignment="1">
      <alignment/>
    </xf>
    <xf numFmtId="170" fontId="3" fillId="10" borderId="2" xfId="0" applyNumberFormat="1" applyFont="1" applyFill="1" applyBorder="1" applyAlignment="1">
      <alignment/>
    </xf>
    <xf numFmtId="0" fontId="0" fillId="8" borderId="0" xfId="0" applyFill="1" applyAlignment="1">
      <alignment/>
    </xf>
    <xf numFmtId="0" fontId="0" fillId="8" borderId="2" xfId="0" applyFill="1" applyBorder="1" applyAlignment="1">
      <alignment/>
    </xf>
    <xf numFmtId="0" fontId="0" fillId="11" borderId="2" xfId="0" applyFill="1" applyBorder="1" applyAlignment="1">
      <alignment/>
    </xf>
    <xf numFmtId="2" fontId="0" fillId="0" borderId="0" xfId="0" applyNumberForma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3"/>
  <sheetViews>
    <sheetView tabSelected="1" workbookViewId="0" topLeftCell="A1">
      <selection activeCell="N39" sqref="N39"/>
    </sheetView>
  </sheetViews>
  <sheetFormatPr defaultColWidth="9.00390625" defaultRowHeight="12.75"/>
  <cols>
    <col min="2" max="2" width="25.00390625" style="0" customWidth="1"/>
    <col min="3" max="3" width="11.75390625" style="0" customWidth="1"/>
  </cols>
  <sheetData>
    <row r="1" ht="12.75">
      <c r="B1" s="45" t="s">
        <v>72</v>
      </c>
    </row>
    <row r="2" spans="1:9" ht="12.75">
      <c r="A2" s="5" t="s">
        <v>73</v>
      </c>
      <c r="B2" s="5" t="s">
        <v>74</v>
      </c>
      <c r="C2" s="5"/>
      <c r="D2" s="5" t="s">
        <v>75</v>
      </c>
      <c r="E2" s="5" t="s">
        <v>76</v>
      </c>
      <c r="F2" s="5" t="s">
        <v>77</v>
      </c>
      <c r="G2" s="5" t="s">
        <v>78</v>
      </c>
      <c r="H2" s="5" t="s">
        <v>79</v>
      </c>
      <c r="I2" s="5" t="s">
        <v>80</v>
      </c>
    </row>
    <row r="3" spans="1:9" ht="12.75">
      <c r="A3" s="5">
        <v>1</v>
      </c>
      <c r="B3" s="5" t="s">
        <v>56</v>
      </c>
      <c r="C3" s="5"/>
      <c r="D3" s="5">
        <v>30</v>
      </c>
      <c r="E3" s="46">
        <v>18</v>
      </c>
      <c r="F3" s="5">
        <v>7</v>
      </c>
      <c r="G3" s="5">
        <v>5</v>
      </c>
      <c r="H3" s="47">
        <v>29</v>
      </c>
      <c r="I3" s="5">
        <v>61</v>
      </c>
    </row>
    <row r="4" spans="1:9" ht="12.75">
      <c r="A4" s="5">
        <v>2</v>
      </c>
      <c r="B4" s="5" t="s">
        <v>57</v>
      </c>
      <c r="C4" s="5"/>
      <c r="D4" s="5">
        <v>30</v>
      </c>
      <c r="E4" s="46">
        <v>17</v>
      </c>
      <c r="F4" s="5">
        <v>6</v>
      </c>
      <c r="G4" s="5">
        <v>7</v>
      </c>
      <c r="H4" s="47">
        <v>21</v>
      </c>
      <c r="I4" s="5">
        <v>57</v>
      </c>
    </row>
    <row r="5" spans="1:9" ht="12.75">
      <c r="A5" s="5">
        <v>3</v>
      </c>
      <c r="B5" s="5" t="s">
        <v>58</v>
      </c>
      <c r="C5" s="5"/>
      <c r="D5" s="5">
        <v>30</v>
      </c>
      <c r="E5" s="46">
        <v>16</v>
      </c>
      <c r="F5" s="5">
        <v>2</v>
      </c>
      <c r="G5" s="5">
        <v>12</v>
      </c>
      <c r="H5" s="47">
        <v>7</v>
      </c>
      <c r="I5" s="5">
        <v>50</v>
      </c>
    </row>
    <row r="6" spans="1:9" ht="12.75">
      <c r="A6" s="5">
        <v>4</v>
      </c>
      <c r="B6" s="5" t="s">
        <v>59</v>
      </c>
      <c r="C6" s="5"/>
      <c r="D6" s="5">
        <v>30</v>
      </c>
      <c r="E6" s="46">
        <v>14</v>
      </c>
      <c r="F6" s="5">
        <v>8</v>
      </c>
      <c r="G6" s="5">
        <v>8</v>
      </c>
      <c r="H6" s="47">
        <v>16</v>
      </c>
      <c r="I6" s="5">
        <v>50</v>
      </c>
    </row>
    <row r="7" spans="1:9" ht="12.75">
      <c r="A7" s="5">
        <v>5</v>
      </c>
      <c r="B7" s="5" t="s">
        <v>60</v>
      </c>
      <c r="C7" s="5"/>
      <c r="D7" s="5">
        <v>30</v>
      </c>
      <c r="E7" s="46">
        <v>14</v>
      </c>
      <c r="F7" s="5">
        <v>7</v>
      </c>
      <c r="G7" s="5">
        <v>9</v>
      </c>
      <c r="H7" s="47">
        <v>12</v>
      </c>
      <c r="I7" s="5">
        <v>49</v>
      </c>
    </row>
    <row r="8" spans="1:9" ht="12.75">
      <c r="A8" s="5">
        <v>6</v>
      </c>
      <c r="B8" s="5" t="s">
        <v>61</v>
      </c>
      <c r="C8" s="5"/>
      <c r="D8" s="5">
        <v>30</v>
      </c>
      <c r="E8" s="46">
        <v>13</v>
      </c>
      <c r="F8" s="5">
        <v>9</v>
      </c>
      <c r="G8" s="5">
        <v>8</v>
      </c>
      <c r="H8" s="47">
        <v>7</v>
      </c>
      <c r="I8" s="5">
        <v>48</v>
      </c>
    </row>
    <row r="9" spans="1:9" ht="12.75">
      <c r="A9" s="5">
        <v>7</v>
      </c>
      <c r="B9" s="5" t="s">
        <v>62</v>
      </c>
      <c r="C9" s="5"/>
      <c r="D9" s="5">
        <v>30</v>
      </c>
      <c r="E9" s="46">
        <v>12</v>
      </c>
      <c r="F9" s="5">
        <v>9</v>
      </c>
      <c r="G9" s="5">
        <v>9</v>
      </c>
      <c r="H9" s="47">
        <v>4</v>
      </c>
      <c r="I9" s="5">
        <v>45</v>
      </c>
    </row>
    <row r="10" spans="1:9" ht="12.75">
      <c r="A10" s="5">
        <v>8</v>
      </c>
      <c r="B10" s="5" t="s">
        <v>63</v>
      </c>
      <c r="C10" s="5"/>
      <c r="D10" s="5">
        <v>30</v>
      </c>
      <c r="E10" s="46">
        <v>12</v>
      </c>
      <c r="F10" s="5">
        <v>8</v>
      </c>
      <c r="G10" s="5">
        <v>10</v>
      </c>
      <c r="H10" s="47">
        <v>-1</v>
      </c>
      <c r="I10" s="5">
        <v>44</v>
      </c>
    </row>
    <row r="11" spans="1:9" ht="12.75">
      <c r="A11" s="5">
        <v>9</v>
      </c>
      <c r="B11" s="5" t="s">
        <v>64</v>
      </c>
      <c r="C11" s="5"/>
      <c r="D11" s="5">
        <v>30</v>
      </c>
      <c r="E11" s="46">
        <v>10</v>
      </c>
      <c r="F11" s="5">
        <v>10</v>
      </c>
      <c r="G11" s="5">
        <v>10</v>
      </c>
      <c r="H11" s="47">
        <v>-5</v>
      </c>
      <c r="I11" s="5">
        <v>40</v>
      </c>
    </row>
    <row r="12" spans="1:9" ht="12.75">
      <c r="A12" s="5">
        <v>10</v>
      </c>
      <c r="B12" s="5" t="s">
        <v>65</v>
      </c>
      <c r="C12" s="5"/>
      <c r="D12" s="5">
        <v>30</v>
      </c>
      <c r="E12" s="46">
        <v>11</v>
      </c>
      <c r="F12" s="5">
        <v>6</v>
      </c>
      <c r="G12" s="5">
        <v>13</v>
      </c>
      <c r="H12" s="47">
        <v>-6</v>
      </c>
      <c r="I12" s="5">
        <v>39</v>
      </c>
    </row>
    <row r="13" spans="1:9" ht="12.75">
      <c r="A13" s="5">
        <v>11</v>
      </c>
      <c r="B13" s="5" t="s">
        <v>66</v>
      </c>
      <c r="C13" s="5"/>
      <c r="D13" s="5">
        <v>30</v>
      </c>
      <c r="E13" s="46">
        <v>9</v>
      </c>
      <c r="F13" s="5">
        <v>9</v>
      </c>
      <c r="G13" s="5">
        <v>12</v>
      </c>
      <c r="H13" s="47">
        <v>-9</v>
      </c>
      <c r="I13" s="5">
        <v>36</v>
      </c>
    </row>
    <row r="14" spans="1:9" ht="12.75">
      <c r="A14" s="5">
        <v>12</v>
      </c>
      <c r="B14" s="5" t="s">
        <v>67</v>
      </c>
      <c r="C14" s="5"/>
      <c r="D14" s="5">
        <v>30</v>
      </c>
      <c r="E14" s="46">
        <v>8</v>
      </c>
      <c r="F14" s="5">
        <v>7</v>
      </c>
      <c r="G14" s="5">
        <v>15</v>
      </c>
      <c r="H14" s="47">
        <v>-8</v>
      </c>
      <c r="I14" s="5">
        <v>31</v>
      </c>
    </row>
    <row r="15" spans="1:9" ht="12.75">
      <c r="A15" s="5">
        <v>13</v>
      </c>
      <c r="B15" s="5" t="s">
        <v>68</v>
      </c>
      <c r="C15" s="5"/>
      <c r="D15" s="5">
        <v>30</v>
      </c>
      <c r="E15" s="46">
        <v>7</v>
      </c>
      <c r="F15" s="5">
        <v>10</v>
      </c>
      <c r="G15" s="5">
        <v>13</v>
      </c>
      <c r="H15" s="47">
        <v>-4</v>
      </c>
      <c r="I15" s="5">
        <v>31</v>
      </c>
    </row>
    <row r="16" spans="1:9" ht="12.75">
      <c r="A16" s="5">
        <v>14</v>
      </c>
      <c r="B16" s="5" t="s">
        <v>69</v>
      </c>
      <c r="C16" s="5"/>
      <c r="D16" s="5">
        <v>30</v>
      </c>
      <c r="E16" s="46">
        <v>8</v>
      </c>
      <c r="F16" s="5">
        <v>4</v>
      </c>
      <c r="G16" s="5">
        <v>18</v>
      </c>
      <c r="H16" s="47">
        <v>-19</v>
      </c>
      <c r="I16" s="5">
        <v>28</v>
      </c>
    </row>
    <row r="17" spans="1:9" ht="12.75">
      <c r="A17" s="5">
        <v>15</v>
      </c>
      <c r="B17" s="5" t="s">
        <v>70</v>
      </c>
      <c r="C17" s="5"/>
      <c r="D17" s="5">
        <v>30</v>
      </c>
      <c r="E17" s="46">
        <v>7</v>
      </c>
      <c r="F17" s="5">
        <v>7</v>
      </c>
      <c r="G17" s="5">
        <v>16</v>
      </c>
      <c r="H17" s="47">
        <v>-22</v>
      </c>
      <c r="I17" s="5">
        <v>28</v>
      </c>
    </row>
    <row r="18" spans="1:9" ht="12.75">
      <c r="A18" s="5">
        <v>16</v>
      </c>
      <c r="B18" s="5" t="s">
        <v>71</v>
      </c>
      <c r="C18" s="5"/>
      <c r="D18" s="5">
        <v>30</v>
      </c>
      <c r="E18" s="46">
        <v>6</v>
      </c>
      <c r="F18" s="5">
        <v>7</v>
      </c>
      <c r="G18" s="5">
        <v>17</v>
      </c>
      <c r="H18" s="47">
        <v>-22</v>
      </c>
      <c r="I18" s="5">
        <v>25</v>
      </c>
    </row>
    <row r="22" ht="13.5" thickBot="1">
      <c r="B22" t="s">
        <v>81</v>
      </c>
    </row>
    <row r="23" spans="3:17" ht="13.5" thickBot="1">
      <c r="C23" s="36" t="s">
        <v>0</v>
      </c>
      <c r="D23" s="36" t="s">
        <v>1</v>
      </c>
      <c r="E23" s="36" t="s">
        <v>51</v>
      </c>
      <c r="F23" s="36" t="s">
        <v>2</v>
      </c>
      <c r="G23" s="36" t="s">
        <v>3</v>
      </c>
      <c r="H23" s="36" t="s">
        <v>4</v>
      </c>
      <c r="I23" s="36" t="s">
        <v>5</v>
      </c>
      <c r="J23" s="36" t="s">
        <v>6</v>
      </c>
      <c r="K23" s="36" t="s">
        <v>7</v>
      </c>
      <c r="L23" s="36" t="s">
        <v>8</v>
      </c>
      <c r="M23" s="36" t="s">
        <v>9</v>
      </c>
      <c r="N23" s="36" t="s">
        <v>10</v>
      </c>
      <c r="O23" s="36" t="s">
        <v>11</v>
      </c>
      <c r="P23" s="36" t="s">
        <v>12</v>
      </c>
      <c r="Q23" s="37" t="s">
        <v>13</v>
      </c>
    </row>
    <row r="24" spans="1:19" ht="12.75">
      <c r="A24" s="40">
        <v>215.97272727272727</v>
      </c>
      <c r="B24" s="39" t="s">
        <v>57</v>
      </c>
      <c r="C24" s="40">
        <f>A24/3*2</f>
        <v>143.98181818181817</v>
      </c>
      <c r="D24" s="48">
        <f>E24</f>
        <v>48.126701146156535</v>
      </c>
      <c r="E24" s="30">
        <f>H24*93-5</f>
        <v>48.126701146156535</v>
      </c>
      <c r="F24" s="48">
        <f>(E24+D24)/2</f>
        <v>48.126701146156535</v>
      </c>
      <c r="G24">
        <v>1</v>
      </c>
      <c r="H24" s="31">
        <f>1/(10^(($C$41-C24)/60)+1)</f>
        <v>0.5712548510339412</v>
      </c>
      <c r="I24" s="48">
        <f>H24*G24</f>
        <v>0.5712548510339412</v>
      </c>
      <c r="J24">
        <v>17</v>
      </c>
      <c r="K24">
        <v>6</v>
      </c>
      <c r="L24">
        <v>21</v>
      </c>
      <c r="M24">
        <f>J24*3+K24</f>
        <v>57</v>
      </c>
      <c r="N24" s="31">
        <f>(2*J24+K24+0.5+L24/$C$42*0.2)/(3.5*$C$42+1)</f>
        <v>0.38339622641509435</v>
      </c>
      <c r="O24" s="31">
        <f>2*(2*$C$42+1)*(N24-I24)</f>
        <v>-22.91875220349932</v>
      </c>
      <c r="P24" s="31">
        <f>O24-$O$41</f>
        <v>10.899408358435718</v>
      </c>
      <c r="Q24" s="34">
        <f>P24/$P$43</f>
        <v>12.893924967768749</v>
      </c>
      <c r="S24" s="31">
        <f>(2*J24+K24+0.5)/(2*$C$42+1)</f>
        <v>0.6639344262295082</v>
      </c>
    </row>
    <row r="25" spans="1:19" ht="12.75">
      <c r="A25" s="40">
        <v>215.5909090909091</v>
      </c>
      <c r="B25" s="39" t="s">
        <v>56</v>
      </c>
      <c r="C25" s="40">
        <f aca="true" t="shared" si="0" ref="C25:C39">A25/3*2</f>
        <v>143.72727272727272</v>
      </c>
      <c r="D25" s="48">
        <f aca="true" t="shared" si="1" ref="D25:D39">E25</f>
        <v>47.90404186838459</v>
      </c>
      <c r="E25" s="30">
        <f aca="true" t="shared" si="2" ref="E25:E39">H25*93-5</f>
        <v>47.90404186838459</v>
      </c>
      <c r="F25" s="48">
        <f aca="true" t="shared" si="3" ref="F25:F39">(E25+D25)/2</f>
        <v>47.90404186838459</v>
      </c>
      <c r="G25">
        <v>1</v>
      </c>
      <c r="H25" s="31">
        <f aca="true" t="shared" si="4" ref="H25:H39">1/(10^(($C$41-C25)/60)+1)</f>
        <v>0.5688606652514472</v>
      </c>
      <c r="I25" s="48">
        <f aca="true" t="shared" si="5" ref="I25:I39">H25*G25</f>
        <v>0.5688606652514472</v>
      </c>
      <c r="J25">
        <v>18</v>
      </c>
      <c r="K25">
        <v>7</v>
      </c>
      <c r="L25">
        <v>29</v>
      </c>
      <c r="M25">
        <f aca="true" t="shared" si="6" ref="M25:M39">J25*3+K25</f>
        <v>61</v>
      </c>
      <c r="N25" s="31">
        <f aca="true" t="shared" si="7" ref="N25:N39">(2*J25+K25+0.5+L25/$C$42*0.2)/(3.5*$C$42+1)</f>
        <v>0.41220125786163525</v>
      </c>
      <c r="O25" s="31">
        <f aca="true" t="shared" si="8" ref="O25:O39">2*(2*$C$42+1)*(N25-I25)</f>
        <v>-19.112447701557056</v>
      </c>
      <c r="P25" s="31">
        <f aca="true" t="shared" si="9" ref="P25:P39">O25-$O$41</f>
        <v>14.705712860377982</v>
      </c>
      <c r="Q25" s="34">
        <f aca="true" t="shared" si="10" ref="Q25:Q39">P25/$P$43</f>
        <v>17.396756959978614</v>
      </c>
      <c r="S25" s="31">
        <f aca="true" t="shared" si="11" ref="S25:S39">(2*J25+K25+0.5)/(2*$C$42+1)</f>
        <v>0.7131147540983607</v>
      </c>
    </row>
    <row r="26" spans="1:19" ht="12.75">
      <c r="A26" s="40">
        <v>214.21363636363634</v>
      </c>
      <c r="B26" s="39" t="s">
        <v>60</v>
      </c>
      <c r="C26" s="40">
        <f t="shared" si="0"/>
        <v>142.80909090909088</v>
      </c>
      <c r="D26" s="48">
        <f t="shared" si="1"/>
        <v>47.098460072921085</v>
      </c>
      <c r="E26" s="30">
        <f t="shared" si="2"/>
        <v>47.098460072921085</v>
      </c>
      <c r="F26" s="48">
        <f t="shared" si="3"/>
        <v>47.098460072921085</v>
      </c>
      <c r="G26">
        <v>1</v>
      </c>
      <c r="H26" s="31">
        <f t="shared" si="4"/>
        <v>0.5601984954077536</v>
      </c>
      <c r="I26" s="48">
        <f t="shared" si="5"/>
        <v>0.5601984954077536</v>
      </c>
      <c r="J26">
        <v>14</v>
      </c>
      <c r="K26">
        <v>7</v>
      </c>
      <c r="L26">
        <v>12</v>
      </c>
      <c r="M26">
        <f t="shared" si="6"/>
        <v>49</v>
      </c>
      <c r="N26" s="31">
        <f t="shared" si="7"/>
        <v>0.3356603773584905</v>
      </c>
      <c r="O26" s="31">
        <f t="shared" si="8"/>
        <v>-27.393650402010092</v>
      </c>
      <c r="P26" s="31">
        <f t="shared" si="9"/>
        <v>6.424510159924946</v>
      </c>
      <c r="Q26" s="34">
        <f t="shared" si="10"/>
        <v>7.600151240560459</v>
      </c>
      <c r="S26" s="31">
        <f t="shared" si="11"/>
        <v>0.5819672131147541</v>
      </c>
    </row>
    <row r="27" spans="1:19" ht="12.75">
      <c r="A27" s="40">
        <v>212.8409090909091</v>
      </c>
      <c r="B27" s="39" t="s">
        <v>63</v>
      </c>
      <c r="C27" s="40">
        <f t="shared" si="0"/>
        <v>141.8939393939394</v>
      </c>
      <c r="D27" s="48">
        <f t="shared" si="1"/>
        <v>46.292128883145594</v>
      </c>
      <c r="E27" s="30">
        <f t="shared" si="2"/>
        <v>46.292128883145594</v>
      </c>
      <c r="F27" s="48">
        <f t="shared" si="3"/>
        <v>46.292128883145594</v>
      </c>
      <c r="G27">
        <v>1</v>
      </c>
      <c r="H27" s="31">
        <f t="shared" si="4"/>
        <v>0.5515282675607053</v>
      </c>
      <c r="I27" s="48">
        <f t="shared" si="5"/>
        <v>0.5515282675607053</v>
      </c>
      <c r="J27">
        <v>12</v>
      </c>
      <c r="K27">
        <v>8</v>
      </c>
      <c r="L27">
        <v>-1</v>
      </c>
      <c r="M27">
        <f t="shared" si="6"/>
        <v>44</v>
      </c>
      <c r="N27" s="31">
        <f t="shared" si="7"/>
        <v>0.30654088050314465</v>
      </c>
      <c r="O27" s="31">
        <f t="shared" si="8"/>
        <v>-29.888461221022396</v>
      </c>
      <c r="P27" s="31">
        <f t="shared" si="9"/>
        <v>3.9296993409126415</v>
      </c>
      <c r="Q27" s="34">
        <f t="shared" si="10"/>
        <v>4.648807236257175</v>
      </c>
      <c r="S27" s="31">
        <f t="shared" si="11"/>
        <v>0.5327868852459017</v>
      </c>
    </row>
    <row r="28" spans="1:19" ht="12.75">
      <c r="A28" s="40">
        <v>212.29090909090908</v>
      </c>
      <c r="B28" s="39" t="s">
        <v>58</v>
      </c>
      <c r="C28" s="40">
        <f t="shared" si="0"/>
        <v>141.52727272727273</v>
      </c>
      <c r="D28" s="48">
        <f t="shared" si="1"/>
        <v>45.9682150421638</v>
      </c>
      <c r="E28" s="30">
        <f t="shared" si="2"/>
        <v>45.9682150421638</v>
      </c>
      <c r="F28" s="48">
        <f t="shared" si="3"/>
        <v>45.9682150421638</v>
      </c>
      <c r="G28">
        <v>1</v>
      </c>
      <c r="H28" s="31">
        <f t="shared" si="4"/>
        <v>0.5480453230340193</v>
      </c>
      <c r="I28" s="48">
        <f t="shared" si="5"/>
        <v>0.5480453230340193</v>
      </c>
      <c r="J28">
        <v>16</v>
      </c>
      <c r="K28">
        <v>2</v>
      </c>
      <c r="L28">
        <v>7</v>
      </c>
      <c r="M28">
        <f t="shared" si="6"/>
        <v>50</v>
      </c>
      <c r="N28" s="31">
        <f t="shared" si="7"/>
        <v>0.3259119496855346</v>
      </c>
      <c r="O28" s="31">
        <f t="shared" si="8"/>
        <v>-27.100271548515135</v>
      </c>
      <c r="P28" s="31">
        <f t="shared" si="9"/>
        <v>6.717889013419903</v>
      </c>
      <c r="Q28" s="34">
        <f t="shared" si="10"/>
        <v>7.947216402236529</v>
      </c>
      <c r="S28" s="31">
        <f t="shared" si="11"/>
        <v>0.5655737704918032</v>
      </c>
    </row>
    <row r="29" spans="1:19" ht="12.75">
      <c r="A29" s="41">
        <v>210.40454545454546</v>
      </c>
      <c r="B29" s="39" t="s">
        <v>66</v>
      </c>
      <c r="C29" s="40">
        <f t="shared" si="0"/>
        <v>140.26969696969698</v>
      </c>
      <c r="D29" s="48">
        <f t="shared" si="1"/>
        <v>44.85413445867272</v>
      </c>
      <c r="E29" s="30">
        <f t="shared" si="2"/>
        <v>44.85413445867272</v>
      </c>
      <c r="F29" s="48">
        <f t="shared" si="3"/>
        <v>44.85413445867272</v>
      </c>
      <c r="G29">
        <v>1</v>
      </c>
      <c r="H29" s="31">
        <f t="shared" si="4"/>
        <v>0.536065961921212</v>
      </c>
      <c r="I29" s="48">
        <f t="shared" si="5"/>
        <v>0.536065961921212</v>
      </c>
      <c r="J29">
        <v>9</v>
      </c>
      <c r="K29">
        <v>9</v>
      </c>
      <c r="L29">
        <v>-9</v>
      </c>
      <c r="M29">
        <f t="shared" si="6"/>
        <v>36</v>
      </c>
      <c r="N29" s="31">
        <f t="shared" si="7"/>
        <v>0.2588679245283019</v>
      </c>
      <c r="O29" s="31">
        <f t="shared" si="8"/>
        <v>-33.81816056193504</v>
      </c>
      <c r="P29" s="31">
        <f t="shared" si="9"/>
        <v>0</v>
      </c>
      <c r="Q29" s="34">
        <f t="shared" si="10"/>
        <v>0</v>
      </c>
      <c r="S29" s="31">
        <f t="shared" si="11"/>
        <v>0.45081967213114754</v>
      </c>
    </row>
    <row r="30" spans="1:19" ht="12.75">
      <c r="A30" s="42">
        <v>205.07727272727274</v>
      </c>
      <c r="B30" s="39" t="s">
        <v>65</v>
      </c>
      <c r="C30" s="40">
        <f t="shared" si="0"/>
        <v>136.71818181818182</v>
      </c>
      <c r="D30" s="48">
        <f t="shared" si="1"/>
        <v>41.69112329860857</v>
      </c>
      <c r="E30" s="30">
        <f t="shared" si="2"/>
        <v>41.69112329860857</v>
      </c>
      <c r="F30" s="48">
        <f t="shared" si="3"/>
        <v>41.69112329860857</v>
      </c>
      <c r="G30">
        <v>1</v>
      </c>
      <c r="H30" s="31">
        <f t="shared" si="4"/>
        <v>0.5020550892323502</v>
      </c>
      <c r="I30" s="48">
        <f t="shared" si="5"/>
        <v>0.5020550892323502</v>
      </c>
      <c r="J30">
        <v>11</v>
      </c>
      <c r="K30">
        <v>6</v>
      </c>
      <c r="L30">
        <v>-6</v>
      </c>
      <c r="M30">
        <f t="shared" si="6"/>
        <v>39</v>
      </c>
      <c r="N30" s="31">
        <f t="shared" si="7"/>
        <v>0.26849056603773586</v>
      </c>
      <c r="O30" s="31">
        <f t="shared" si="8"/>
        <v>-28.49487182974295</v>
      </c>
      <c r="P30" s="31">
        <f t="shared" si="9"/>
        <v>5.323288732192086</v>
      </c>
      <c r="Q30" s="34">
        <f t="shared" si="10"/>
        <v>6.297413881325988</v>
      </c>
      <c r="S30" s="31">
        <f t="shared" si="11"/>
        <v>0.4672131147540984</v>
      </c>
    </row>
    <row r="31" spans="1:19" ht="12.75">
      <c r="A31" s="42">
        <v>204.31363636363633</v>
      </c>
      <c r="B31" s="39" t="s">
        <v>62</v>
      </c>
      <c r="C31" s="40">
        <f t="shared" si="0"/>
        <v>136.2090909090909</v>
      </c>
      <c r="D31" s="48">
        <f t="shared" si="1"/>
        <v>41.23688994177534</v>
      </c>
      <c r="E31" s="30">
        <f t="shared" si="2"/>
        <v>41.23688994177534</v>
      </c>
      <c r="F31" s="48">
        <f t="shared" si="3"/>
        <v>41.23688994177534</v>
      </c>
      <c r="G31">
        <v>1</v>
      </c>
      <c r="H31" s="31">
        <f t="shared" si="4"/>
        <v>0.4971708595889821</v>
      </c>
      <c r="I31" s="48">
        <f t="shared" si="5"/>
        <v>0.4971708595889821</v>
      </c>
      <c r="J31">
        <v>12</v>
      </c>
      <c r="K31">
        <v>9</v>
      </c>
      <c r="L31">
        <v>4</v>
      </c>
      <c r="M31">
        <f t="shared" si="6"/>
        <v>45</v>
      </c>
      <c r="N31" s="31">
        <f t="shared" si="7"/>
        <v>0.3162893081761006</v>
      </c>
      <c r="O31" s="31">
        <f t="shared" si="8"/>
        <v>-22.06754927237154</v>
      </c>
      <c r="P31" s="31">
        <f t="shared" si="9"/>
        <v>11.750611289563498</v>
      </c>
      <c r="Q31" s="34">
        <f t="shared" si="10"/>
        <v>13.900892168682175</v>
      </c>
      <c r="S31" s="31">
        <f t="shared" si="11"/>
        <v>0.5491803278688525</v>
      </c>
    </row>
    <row r="32" spans="1:19" ht="12.75">
      <c r="A32" s="42">
        <v>202.71818181818182</v>
      </c>
      <c r="B32" s="39" t="s">
        <v>59</v>
      </c>
      <c r="C32" s="40">
        <f t="shared" si="0"/>
        <v>135.14545454545456</v>
      </c>
      <c r="D32" s="48">
        <f t="shared" si="1"/>
        <v>40.288130239564424</v>
      </c>
      <c r="E32" s="30">
        <f t="shared" si="2"/>
        <v>40.288130239564424</v>
      </c>
      <c r="F32" s="48">
        <f t="shared" si="3"/>
        <v>40.288130239564424</v>
      </c>
      <c r="G32">
        <v>1</v>
      </c>
      <c r="H32" s="31">
        <f t="shared" si="4"/>
        <v>0.48696914236090777</v>
      </c>
      <c r="I32" s="48">
        <f t="shared" si="5"/>
        <v>0.48696914236090777</v>
      </c>
      <c r="J32">
        <v>14</v>
      </c>
      <c r="K32">
        <v>8</v>
      </c>
      <c r="L32">
        <v>16</v>
      </c>
      <c r="M32">
        <f t="shared" si="6"/>
        <v>50</v>
      </c>
      <c r="N32" s="31">
        <f t="shared" si="7"/>
        <v>0.34534591194968556</v>
      </c>
      <c r="O32" s="31">
        <f t="shared" si="8"/>
        <v>-17.27803411016911</v>
      </c>
      <c r="P32" s="31">
        <f t="shared" si="9"/>
        <v>16.54012645176593</v>
      </c>
      <c r="Q32" s="34">
        <f t="shared" si="10"/>
        <v>19.56685559555318</v>
      </c>
      <c r="S32" s="31">
        <f t="shared" si="11"/>
        <v>0.5983606557377049</v>
      </c>
    </row>
    <row r="33" spans="1:19" ht="12.75">
      <c r="A33" s="43">
        <v>200.56363636363636</v>
      </c>
      <c r="B33" s="39" t="s">
        <v>68</v>
      </c>
      <c r="C33" s="40">
        <f t="shared" si="0"/>
        <v>133.70909090909092</v>
      </c>
      <c r="D33" s="48">
        <f t="shared" si="1"/>
        <v>39.00864579108932</v>
      </c>
      <c r="E33" s="30">
        <f t="shared" si="2"/>
        <v>39.00864579108932</v>
      </c>
      <c r="F33" s="48">
        <f t="shared" si="3"/>
        <v>39.00864579108932</v>
      </c>
      <c r="G33">
        <v>1</v>
      </c>
      <c r="H33" s="31">
        <f t="shared" si="4"/>
        <v>0.47321124506547657</v>
      </c>
      <c r="I33" s="48">
        <f t="shared" si="5"/>
        <v>0.47321124506547657</v>
      </c>
      <c r="J33">
        <v>7</v>
      </c>
      <c r="K33">
        <v>10</v>
      </c>
      <c r="L33">
        <v>-4</v>
      </c>
      <c r="M33">
        <f t="shared" si="6"/>
        <v>31</v>
      </c>
      <c r="N33" s="31">
        <f t="shared" si="7"/>
        <v>0.23088050314465408</v>
      </c>
      <c r="O33" s="31">
        <f t="shared" si="8"/>
        <v>-29.564350514340344</v>
      </c>
      <c r="P33" s="31">
        <f t="shared" si="9"/>
        <v>4.253810047594694</v>
      </c>
      <c r="Q33" s="34">
        <f t="shared" si="10"/>
        <v>5.0322279684453095</v>
      </c>
      <c r="S33" s="31">
        <f t="shared" si="11"/>
        <v>0.4016393442622951</v>
      </c>
    </row>
    <row r="34" spans="1:19" ht="12.75">
      <c r="A34" s="43">
        <v>198.91363636363639</v>
      </c>
      <c r="B34" s="39" t="s">
        <v>67</v>
      </c>
      <c r="C34" s="40">
        <f t="shared" si="0"/>
        <v>132.60909090909092</v>
      </c>
      <c r="D34" s="48">
        <f t="shared" si="1"/>
        <v>38.031236731269644</v>
      </c>
      <c r="E34" s="30">
        <f t="shared" si="2"/>
        <v>38.031236731269644</v>
      </c>
      <c r="F34" s="48">
        <f t="shared" si="3"/>
        <v>38.031236731269644</v>
      </c>
      <c r="G34">
        <v>1</v>
      </c>
      <c r="H34" s="31">
        <f t="shared" si="4"/>
        <v>0.46270147022870584</v>
      </c>
      <c r="I34" s="48">
        <f t="shared" si="5"/>
        <v>0.46270147022870584</v>
      </c>
      <c r="J34">
        <v>8</v>
      </c>
      <c r="K34">
        <v>7</v>
      </c>
      <c r="L34">
        <v>-8</v>
      </c>
      <c r="M34">
        <f t="shared" si="6"/>
        <v>31</v>
      </c>
      <c r="N34" s="31">
        <f t="shared" si="7"/>
        <v>0.2211949685534591</v>
      </c>
      <c r="O34" s="31">
        <f t="shared" si="8"/>
        <v>-29.463793204380103</v>
      </c>
      <c r="P34" s="31">
        <f t="shared" si="9"/>
        <v>4.354367357554935</v>
      </c>
      <c r="Q34" s="34">
        <f t="shared" si="10"/>
        <v>5.151186573073102</v>
      </c>
      <c r="S34" s="31">
        <f t="shared" si="11"/>
        <v>0.38524590163934425</v>
      </c>
    </row>
    <row r="35" spans="1:19" ht="12.75">
      <c r="A35" s="43">
        <v>198.68636363636364</v>
      </c>
      <c r="B35" s="39" t="s">
        <v>61</v>
      </c>
      <c r="C35" s="40">
        <f t="shared" si="0"/>
        <v>132.45757575757577</v>
      </c>
      <c r="D35" s="48">
        <f t="shared" si="1"/>
        <v>37.89682889751269</v>
      </c>
      <c r="E35" s="30">
        <f t="shared" si="2"/>
        <v>37.89682889751269</v>
      </c>
      <c r="F35" s="48">
        <f t="shared" si="3"/>
        <v>37.89682889751269</v>
      </c>
      <c r="G35">
        <v>1</v>
      </c>
      <c r="H35" s="31">
        <f t="shared" si="4"/>
        <v>0.46125622470443756</v>
      </c>
      <c r="I35" s="48">
        <f t="shared" si="5"/>
        <v>0.46125622470443756</v>
      </c>
      <c r="J35">
        <v>13</v>
      </c>
      <c r="K35">
        <v>9</v>
      </c>
      <c r="L35">
        <v>7</v>
      </c>
      <c r="M35">
        <f t="shared" si="6"/>
        <v>48</v>
      </c>
      <c r="N35" s="31">
        <f t="shared" si="7"/>
        <v>0.33534591194968555</v>
      </c>
      <c r="O35" s="31">
        <f t="shared" si="8"/>
        <v>-15.361058156079745</v>
      </c>
      <c r="P35" s="31">
        <f t="shared" si="9"/>
        <v>18.457102405855295</v>
      </c>
      <c r="Q35" s="34">
        <f t="shared" si="10"/>
        <v>21.83462493717207</v>
      </c>
      <c r="S35" s="31">
        <f t="shared" si="11"/>
        <v>0.5819672131147541</v>
      </c>
    </row>
    <row r="36" spans="1:19" ht="12.75">
      <c r="A36" s="43">
        <v>198.32272727272726</v>
      </c>
      <c r="B36" s="39" t="s">
        <v>71</v>
      </c>
      <c r="C36" s="40">
        <f t="shared" si="0"/>
        <v>132.21515151515152</v>
      </c>
      <c r="D36" s="48">
        <f t="shared" si="1"/>
        <v>37.68190322430266</v>
      </c>
      <c r="E36" s="30">
        <f t="shared" si="2"/>
        <v>37.68190322430266</v>
      </c>
      <c r="F36" s="48">
        <f t="shared" si="3"/>
        <v>37.68190322430266</v>
      </c>
      <c r="G36">
        <v>1</v>
      </c>
      <c r="H36" s="31">
        <f t="shared" si="4"/>
        <v>0.45894519596024363</v>
      </c>
      <c r="I36" s="48">
        <f t="shared" si="5"/>
        <v>0.45894519596024363</v>
      </c>
      <c r="J36">
        <v>6</v>
      </c>
      <c r="K36">
        <v>7</v>
      </c>
      <c r="L36">
        <v>-22</v>
      </c>
      <c r="M36">
        <f t="shared" si="6"/>
        <v>25</v>
      </c>
      <c r="N36" s="31">
        <f t="shared" si="7"/>
        <v>0.18257861635220124</v>
      </c>
      <c r="O36" s="31">
        <f t="shared" si="8"/>
        <v>-33.71672271218117</v>
      </c>
      <c r="P36" s="31">
        <f t="shared" si="9"/>
        <v>0.10143784975386438</v>
      </c>
      <c r="Q36" s="34">
        <f t="shared" si="10"/>
        <v>0.12000027713484453</v>
      </c>
      <c r="S36" s="31">
        <f t="shared" si="11"/>
        <v>0.319672131147541</v>
      </c>
    </row>
    <row r="37" spans="1:19" ht="12.75">
      <c r="A37" s="43">
        <v>197.64090909090908</v>
      </c>
      <c r="B37" s="39" t="s">
        <v>64</v>
      </c>
      <c r="C37" s="40">
        <f t="shared" si="0"/>
        <v>131.76060606060605</v>
      </c>
      <c r="D37" s="48">
        <f t="shared" si="1"/>
        <v>37.27936708462541</v>
      </c>
      <c r="E37" s="30">
        <f t="shared" si="2"/>
        <v>37.27936708462541</v>
      </c>
      <c r="F37" s="48">
        <f t="shared" si="3"/>
        <v>37.27936708462541</v>
      </c>
      <c r="G37">
        <v>1</v>
      </c>
      <c r="H37" s="31">
        <f t="shared" si="4"/>
        <v>0.4546168503723163</v>
      </c>
      <c r="I37" s="48">
        <f t="shared" si="5"/>
        <v>0.4546168503723163</v>
      </c>
      <c r="J37">
        <v>10</v>
      </c>
      <c r="K37">
        <v>10</v>
      </c>
      <c r="L37">
        <v>-5</v>
      </c>
      <c r="M37">
        <f t="shared" si="6"/>
        <v>40</v>
      </c>
      <c r="N37" s="31">
        <f t="shared" si="7"/>
        <v>0.28742138364779873</v>
      </c>
      <c r="O37" s="31">
        <f t="shared" si="8"/>
        <v>-20.397846940391144</v>
      </c>
      <c r="P37" s="31">
        <f t="shared" si="9"/>
        <v>13.420313621543894</v>
      </c>
      <c r="Q37" s="34">
        <f t="shared" si="10"/>
        <v>15.876138519590857</v>
      </c>
      <c r="S37" s="31">
        <f t="shared" si="11"/>
        <v>0.5</v>
      </c>
    </row>
    <row r="38" spans="1:19" ht="12.75">
      <c r="A38" s="44">
        <v>195.76363636363638</v>
      </c>
      <c r="B38" s="39" t="s">
        <v>69</v>
      </c>
      <c r="C38" s="40">
        <f t="shared" si="0"/>
        <v>130.50909090909093</v>
      </c>
      <c r="D38" s="48">
        <f t="shared" si="1"/>
        <v>36.17452081523541</v>
      </c>
      <c r="E38" s="30">
        <f t="shared" si="2"/>
        <v>36.17452081523541</v>
      </c>
      <c r="F38" s="48">
        <f t="shared" si="3"/>
        <v>36.17452081523541</v>
      </c>
      <c r="G38">
        <v>1</v>
      </c>
      <c r="H38" s="31">
        <f t="shared" si="4"/>
        <v>0.4427367829595205</v>
      </c>
      <c r="I38" s="48">
        <f t="shared" si="5"/>
        <v>0.4427367829595205</v>
      </c>
      <c r="J38">
        <v>8</v>
      </c>
      <c r="K38">
        <v>4</v>
      </c>
      <c r="L38">
        <v>-19</v>
      </c>
      <c r="M38">
        <f t="shared" si="6"/>
        <v>28</v>
      </c>
      <c r="N38" s="31">
        <f t="shared" si="7"/>
        <v>0.19220125786163522</v>
      </c>
      <c r="O38" s="31">
        <f t="shared" si="8"/>
        <v>-30.565334061942007</v>
      </c>
      <c r="P38" s="31">
        <f t="shared" si="9"/>
        <v>3.2528264999930308</v>
      </c>
      <c r="Q38" s="34">
        <f t="shared" si="10"/>
        <v>3.8480713305524263</v>
      </c>
      <c r="S38" s="31">
        <f t="shared" si="11"/>
        <v>0.3360655737704918</v>
      </c>
    </row>
    <row r="39" spans="1:19" ht="12.75">
      <c r="A39" s="44">
        <v>192.7818181818182</v>
      </c>
      <c r="B39" s="39" t="s">
        <v>70</v>
      </c>
      <c r="C39" s="40">
        <f t="shared" si="0"/>
        <v>128.52121212121213</v>
      </c>
      <c r="D39" s="48">
        <f t="shared" si="1"/>
        <v>34.43255127517235</v>
      </c>
      <c r="E39" s="30">
        <f t="shared" si="2"/>
        <v>34.43255127517235</v>
      </c>
      <c r="F39" s="48">
        <f t="shared" si="3"/>
        <v>34.43255127517235</v>
      </c>
      <c r="G39">
        <v>1</v>
      </c>
      <c r="H39" s="31">
        <f t="shared" si="4"/>
        <v>0.42400592769002526</v>
      </c>
      <c r="I39" s="48">
        <f t="shared" si="5"/>
        <v>0.42400592769002526</v>
      </c>
      <c r="J39">
        <v>7</v>
      </c>
      <c r="K39">
        <v>7</v>
      </c>
      <c r="L39">
        <v>-22</v>
      </c>
      <c r="M39">
        <f t="shared" si="6"/>
        <v>28</v>
      </c>
      <c r="N39" s="31">
        <f t="shared" si="7"/>
        <v>0.20144654088050312</v>
      </c>
      <c r="O39" s="31">
        <f t="shared" si="8"/>
        <v>-27.1522451907617</v>
      </c>
      <c r="P39" s="31">
        <f t="shared" si="9"/>
        <v>6.665915371173337</v>
      </c>
      <c r="Q39" s="34">
        <f t="shared" si="10"/>
        <v>7.885731941668519</v>
      </c>
      <c r="S39" s="31">
        <f t="shared" si="11"/>
        <v>0.3524590163934426</v>
      </c>
    </row>
    <row r="41" spans="2:15" ht="12.75">
      <c r="B41" s="3" t="s">
        <v>30</v>
      </c>
      <c r="C41" s="7">
        <f>SUM(C24:C39)/16</f>
        <v>136.50397727272727</v>
      </c>
      <c r="N41" s="22" t="s">
        <v>32</v>
      </c>
      <c r="O41" s="23">
        <f>MIN(O24:O39)</f>
        <v>-33.81816056193504</v>
      </c>
    </row>
    <row r="42" spans="2:16" ht="12.75">
      <c r="B42" s="3" t="s">
        <v>33</v>
      </c>
      <c r="C42" s="9">
        <v>30</v>
      </c>
      <c r="O42" s="22" t="s">
        <v>35</v>
      </c>
      <c r="P42" s="23">
        <f>SUM(P24:P39)</f>
        <v>126.79701936006175</v>
      </c>
    </row>
    <row r="43" spans="2:16" ht="12.75">
      <c r="B43" s="3" t="s">
        <v>36</v>
      </c>
      <c r="C43" s="9">
        <v>150</v>
      </c>
      <c r="O43" s="22" t="s">
        <v>38</v>
      </c>
      <c r="P43" s="24">
        <f>P42/C43</f>
        <v>0.8453134624004117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A1:Y57"/>
  <sheetViews>
    <sheetView workbookViewId="0" topLeftCell="A1">
      <selection activeCell="H2" sqref="H2"/>
    </sheetView>
  </sheetViews>
  <sheetFormatPr defaultColWidth="9.00390625" defaultRowHeight="12.75"/>
  <cols>
    <col min="1" max="1" width="3.625" style="25" customWidth="1"/>
    <col min="2" max="2" width="14.00390625" style="0" customWidth="1"/>
    <col min="3" max="3" width="7.625" style="0" customWidth="1"/>
    <col min="4" max="6" width="6.125" style="0" customWidth="1"/>
    <col min="7" max="7" width="8.625" style="0" customWidth="1"/>
    <col min="8" max="9" width="6.25390625" style="0" customWidth="1"/>
    <col min="10" max="11" width="3.375" style="0" customWidth="1"/>
    <col min="12" max="12" width="3.875" style="0" customWidth="1"/>
    <col min="13" max="13" width="4.625" style="0" customWidth="1"/>
    <col min="14" max="14" width="9.25390625" style="0" customWidth="1"/>
    <col min="15" max="15" width="15.875" style="0" bestFit="1" customWidth="1"/>
    <col min="16" max="16" width="12.625" style="0" bestFit="1" customWidth="1"/>
    <col min="17" max="17" width="10.375" style="26" customWidth="1"/>
    <col min="18" max="25" width="9.125" style="3" customWidth="1"/>
  </cols>
  <sheetData>
    <row r="1" spans="1:25" s="2" customFormat="1" ht="13.5" thickBot="1">
      <c r="A1" s="35"/>
      <c r="B1" s="36"/>
      <c r="C1" s="36" t="s">
        <v>0</v>
      </c>
      <c r="D1" s="36" t="s">
        <v>1</v>
      </c>
      <c r="E1" s="36" t="s">
        <v>51</v>
      </c>
      <c r="F1" s="36" t="s">
        <v>2</v>
      </c>
      <c r="G1" s="36" t="s">
        <v>3</v>
      </c>
      <c r="H1" s="36" t="s">
        <v>4</v>
      </c>
      <c r="I1" s="36" t="s">
        <v>5</v>
      </c>
      <c r="J1" s="36" t="s">
        <v>6</v>
      </c>
      <c r="K1" s="36" t="s">
        <v>7</v>
      </c>
      <c r="L1" s="36" t="s">
        <v>8</v>
      </c>
      <c r="M1" s="36" t="s">
        <v>9</v>
      </c>
      <c r="N1" s="36" t="s">
        <v>10</v>
      </c>
      <c r="O1" s="36" t="s">
        <v>11</v>
      </c>
      <c r="P1" s="36" t="s">
        <v>12</v>
      </c>
      <c r="Q1" s="37" t="s">
        <v>13</v>
      </c>
      <c r="R1" s="1"/>
      <c r="S1" s="1"/>
      <c r="T1" s="1"/>
      <c r="U1" s="1"/>
      <c r="V1" s="1"/>
      <c r="W1" s="1"/>
      <c r="X1" s="1"/>
      <c r="Y1" s="1"/>
    </row>
    <row r="2" spans="1:19" ht="12.75">
      <c r="A2" s="27">
        <v>1</v>
      </c>
      <c r="B2" s="28" t="s">
        <v>14</v>
      </c>
      <c r="C2" s="29">
        <v>138.27</v>
      </c>
      <c r="D2" s="29">
        <f>E2</f>
        <v>54.15272770210254</v>
      </c>
      <c r="E2" s="30">
        <f>H2*93.16635-5.5832</f>
        <v>54.15272770210254</v>
      </c>
      <c r="F2" s="30">
        <f aca="true" t="shared" si="0" ref="F2:F17">(D2+E2)/2</f>
        <v>54.15272770210254</v>
      </c>
      <c r="G2" s="31">
        <f>F2/E2</f>
        <v>1</v>
      </c>
      <c r="H2" s="31">
        <f aca="true" t="shared" si="1" ref="H2:H17">1/(10^(($C$19-C2)/60)+1)</f>
        <v>0.6411749274507645</v>
      </c>
      <c r="I2" s="31">
        <f aca="true" t="shared" si="2" ref="I2:I17">H2*G2</f>
        <v>0.6411749274507645</v>
      </c>
      <c r="J2" s="32">
        <v>11</v>
      </c>
      <c r="K2" s="32">
        <v>14</v>
      </c>
      <c r="L2" s="32">
        <v>14</v>
      </c>
      <c r="M2" s="33">
        <f aca="true" t="shared" si="3" ref="M2:M17">J2*3+K2</f>
        <v>47</v>
      </c>
      <c r="N2" s="31">
        <f>(2*J2+K2+0.5+L2/$C$20*0.2)/(2*$C$20+1)</f>
        <v>0.5998907103825136</v>
      </c>
      <c r="O2" s="31">
        <f aca="true" t="shared" si="4" ref="O2:O17">2*(2*$C$20+1)*(N2-I2)</f>
        <v>-5.036674482326612</v>
      </c>
      <c r="P2" s="31">
        <f aca="true" t="shared" si="5" ref="P2:P17">O2-$O$19</f>
        <v>15.740395835086483</v>
      </c>
      <c r="Q2" s="34">
        <f aca="true" t="shared" si="6" ref="Q2:Q17">P2/$P$21</f>
        <v>7.091606394405924</v>
      </c>
      <c r="R2" s="38">
        <f>J2*3+K2</f>
        <v>47</v>
      </c>
      <c r="S2" s="38"/>
    </row>
    <row r="3" spans="1:19" ht="12.75">
      <c r="A3" s="4">
        <v>2</v>
      </c>
      <c r="B3" s="5" t="s">
        <v>15</v>
      </c>
      <c r="C3" s="6">
        <v>136.27</v>
      </c>
      <c r="D3" s="6">
        <f aca="true" t="shared" si="7" ref="D3:D17">E3</f>
        <v>52.49035317066437</v>
      </c>
      <c r="E3" s="7">
        <f aca="true" t="shared" si="8" ref="E3:E17">H3*93.16635-5.5832</f>
        <v>52.49035317066437</v>
      </c>
      <c r="F3" s="7">
        <f t="shared" si="0"/>
        <v>52.49035317066437</v>
      </c>
      <c r="G3" s="8">
        <f aca="true" t="shared" si="9" ref="G3:G17">F3/E3</f>
        <v>1</v>
      </c>
      <c r="H3" s="8">
        <f t="shared" si="1"/>
        <v>0.6233318485769205</v>
      </c>
      <c r="I3" s="8">
        <f t="shared" si="2"/>
        <v>0.6233318485769205</v>
      </c>
      <c r="J3" s="9">
        <v>13</v>
      </c>
      <c r="K3" s="9">
        <v>11</v>
      </c>
      <c r="L3" s="9">
        <v>16</v>
      </c>
      <c r="M3" s="10">
        <f t="shared" si="3"/>
        <v>50</v>
      </c>
      <c r="N3" s="8">
        <f aca="true" t="shared" si="10" ref="N3:N17">(2*J3+K3+0.5+L3/$C$20*0.2)/(2*$C$20+1)</f>
        <v>0.6165027322404372</v>
      </c>
      <c r="O3" s="8">
        <f t="shared" si="4"/>
        <v>-0.8331521930509638</v>
      </c>
      <c r="P3" s="8">
        <f t="shared" si="5"/>
        <v>19.94391812436213</v>
      </c>
      <c r="Q3" s="11">
        <f t="shared" si="6"/>
        <v>8.985442220262792</v>
      </c>
      <c r="R3" s="38">
        <f aca="true" t="shared" si="11" ref="R3:R17">J3*3+K3</f>
        <v>50</v>
      </c>
      <c r="S3" s="38"/>
    </row>
    <row r="4" spans="1:19" ht="12.75">
      <c r="A4" s="4">
        <v>3</v>
      </c>
      <c r="B4" s="5" t="s">
        <v>16</v>
      </c>
      <c r="C4" s="6">
        <v>136.02</v>
      </c>
      <c r="D4" s="6">
        <f t="shared" si="7"/>
        <v>52.28024032816526</v>
      </c>
      <c r="E4" s="7">
        <f t="shared" si="8"/>
        <v>52.28024032816526</v>
      </c>
      <c r="F4" s="7">
        <f t="shared" si="0"/>
        <v>52.28024032816526</v>
      </c>
      <c r="G4" s="8">
        <f t="shared" si="9"/>
        <v>1</v>
      </c>
      <c r="H4" s="8">
        <f t="shared" si="1"/>
        <v>0.6210766046771744</v>
      </c>
      <c r="I4" s="8">
        <f t="shared" si="2"/>
        <v>0.6210766046771744</v>
      </c>
      <c r="J4" s="9">
        <v>15</v>
      </c>
      <c r="K4" s="9">
        <v>8</v>
      </c>
      <c r="L4" s="9">
        <v>11</v>
      </c>
      <c r="M4" s="10">
        <f t="shared" si="3"/>
        <v>53</v>
      </c>
      <c r="N4" s="8">
        <f t="shared" si="10"/>
        <v>0.6323497267759562</v>
      </c>
      <c r="O4" s="8">
        <f t="shared" si="4"/>
        <v>1.3753208960513845</v>
      </c>
      <c r="P4" s="8">
        <f t="shared" si="5"/>
        <v>22.15239121346448</v>
      </c>
      <c r="Q4" s="11">
        <f t="shared" si="6"/>
        <v>9.980437647610351</v>
      </c>
      <c r="R4" s="38">
        <f t="shared" si="11"/>
        <v>53</v>
      </c>
      <c r="S4" s="38"/>
    </row>
    <row r="5" spans="1:19" ht="12.75">
      <c r="A5" s="4">
        <v>4</v>
      </c>
      <c r="B5" s="5" t="s">
        <v>17</v>
      </c>
      <c r="C5" s="6">
        <v>128.82</v>
      </c>
      <c r="D5" s="6">
        <f t="shared" si="7"/>
        <v>46.053157698087865</v>
      </c>
      <c r="E5" s="7">
        <f t="shared" si="8"/>
        <v>46.053157698087865</v>
      </c>
      <c r="F5" s="7">
        <f t="shared" si="0"/>
        <v>46.053157698087865</v>
      </c>
      <c r="G5" s="8">
        <f t="shared" si="9"/>
        <v>1</v>
      </c>
      <c r="H5" s="8">
        <f t="shared" si="1"/>
        <v>0.5542382812902713</v>
      </c>
      <c r="I5" s="8">
        <f t="shared" si="2"/>
        <v>0.5542382812902713</v>
      </c>
      <c r="J5" s="9">
        <v>9</v>
      </c>
      <c r="K5" s="9">
        <v>5</v>
      </c>
      <c r="L5" s="9">
        <v>-12</v>
      </c>
      <c r="M5" s="10">
        <f t="shared" si="3"/>
        <v>32</v>
      </c>
      <c r="N5" s="8">
        <f t="shared" si="10"/>
        <v>0.38393442622950824</v>
      </c>
      <c r="O5" s="8">
        <f t="shared" si="4"/>
        <v>-20.777070317413095</v>
      </c>
      <c r="P5" s="8">
        <f t="shared" si="5"/>
        <v>0</v>
      </c>
      <c r="Q5" s="11">
        <f t="shared" si="6"/>
        <v>0</v>
      </c>
      <c r="R5" s="38">
        <f t="shared" si="11"/>
        <v>32</v>
      </c>
      <c r="S5" s="38"/>
    </row>
    <row r="6" spans="1:19" ht="12.75">
      <c r="A6" s="4">
        <v>5</v>
      </c>
      <c r="B6" s="5" t="s">
        <v>18</v>
      </c>
      <c r="C6" s="6">
        <v>126.66</v>
      </c>
      <c r="D6" s="6">
        <f t="shared" si="7"/>
        <v>44.13765028030142</v>
      </c>
      <c r="E6" s="7">
        <f t="shared" si="8"/>
        <v>44.13765028030142</v>
      </c>
      <c r="F6" s="7">
        <f t="shared" si="0"/>
        <v>44.13765028030142</v>
      </c>
      <c r="G6" s="8">
        <f t="shared" si="9"/>
        <v>1</v>
      </c>
      <c r="H6" s="8">
        <f t="shared" si="1"/>
        <v>0.5336782033459658</v>
      </c>
      <c r="I6" s="8">
        <f t="shared" si="2"/>
        <v>0.5336782033459658</v>
      </c>
      <c r="J6" s="9">
        <v>12</v>
      </c>
      <c r="K6" s="9">
        <v>11</v>
      </c>
      <c r="L6" s="9">
        <v>9</v>
      </c>
      <c r="M6" s="10">
        <f t="shared" si="3"/>
        <v>47</v>
      </c>
      <c r="N6" s="8">
        <f t="shared" si="10"/>
        <v>0.5829508196721311</v>
      </c>
      <c r="O6" s="8">
        <f t="shared" si="4"/>
        <v>6.011259191792168</v>
      </c>
      <c r="P6" s="8">
        <f t="shared" si="5"/>
        <v>26.788329509205262</v>
      </c>
      <c r="Q6" s="11">
        <f t="shared" si="6"/>
        <v>12.069092215550954</v>
      </c>
      <c r="R6" s="38">
        <f t="shared" si="11"/>
        <v>47</v>
      </c>
      <c r="S6" s="38"/>
    </row>
    <row r="7" spans="1:19" ht="12.75">
      <c r="A7" s="4">
        <v>6</v>
      </c>
      <c r="B7" s="5" t="s">
        <v>19</v>
      </c>
      <c r="C7" s="6">
        <v>125.98</v>
      </c>
      <c r="D7" s="6">
        <f t="shared" si="7"/>
        <v>43.532093598203716</v>
      </c>
      <c r="E7" s="7">
        <f t="shared" si="8"/>
        <v>43.532093598203716</v>
      </c>
      <c r="F7" s="7">
        <f t="shared" si="0"/>
        <v>43.532093598203716</v>
      </c>
      <c r="G7" s="8">
        <f t="shared" si="9"/>
        <v>1</v>
      </c>
      <c r="H7" s="8">
        <f t="shared" si="1"/>
        <v>0.527178467313614</v>
      </c>
      <c r="I7" s="8">
        <f t="shared" si="2"/>
        <v>0.527178467313614</v>
      </c>
      <c r="J7" s="9">
        <v>13</v>
      </c>
      <c r="K7" s="9">
        <v>12</v>
      </c>
      <c r="L7" s="9">
        <v>9</v>
      </c>
      <c r="M7" s="10">
        <f t="shared" si="3"/>
        <v>51</v>
      </c>
      <c r="N7" s="8">
        <f t="shared" si="10"/>
        <v>0.6321311475409837</v>
      </c>
      <c r="O7" s="8">
        <f t="shared" si="4"/>
        <v>12.804226987739103</v>
      </c>
      <c r="P7" s="8">
        <f t="shared" si="5"/>
        <v>33.5812973051522</v>
      </c>
      <c r="Q7" s="11">
        <f t="shared" si="6"/>
        <v>15.129565050125393</v>
      </c>
      <c r="R7" s="38">
        <f t="shared" si="11"/>
        <v>51</v>
      </c>
      <c r="S7" s="38"/>
    </row>
    <row r="8" spans="1:19" ht="12.75">
      <c r="A8" s="4">
        <v>7</v>
      </c>
      <c r="B8" s="5" t="s">
        <v>20</v>
      </c>
      <c r="C8" s="6">
        <v>124.84</v>
      </c>
      <c r="D8" s="6">
        <f t="shared" si="7"/>
        <v>42.51507092614771</v>
      </c>
      <c r="E8" s="7">
        <f t="shared" si="8"/>
        <v>42.51507092614771</v>
      </c>
      <c r="F8" s="7">
        <f t="shared" si="0"/>
        <v>42.51507092614771</v>
      </c>
      <c r="G8" s="8">
        <f t="shared" si="9"/>
        <v>1</v>
      </c>
      <c r="H8" s="8">
        <f t="shared" si="1"/>
        <v>0.5162622655727922</v>
      </c>
      <c r="I8" s="8">
        <f t="shared" si="2"/>
        <v>0.5162622655727922</v>
      </c>
      <c r="J8" s="9">
        <v>11</v>
      </c>
      <c r="K8" s="9">
        <v>11</v>
      </c>
      <c r="L8" s="9">
        <v>6</v>
      </c>
      <c r="M8" s="10">
        <f t="shared" si="3"/>
        <v>44</v>
      </c>
      <c r="N8" s="8">
        <f t="shared" si="10"/>
        <v>0.5498360655737705</v>
      </c>
      <c r="O8" s="8">
        <f t="shared" si="4"/>
        <v>4.096003600119355</v>
      </c>
      <c r="P8" s="8">
        <f t="shared" si="5"/>
        <v>24.87307391753245</v>
      </c>
      <c r="Q8" s="11">
        <f t="shared" si="6"/>
        <v>11.206201666727983</v>
      </c>
      <c r="R8" s="38">
        <f t="shared" si="11"/>
        <v>44</v>
      </c>
      <c r="S8" s="38"/>
    </row>
    <row r="9" spans="1:19" ht="12.75">
      <c r="A9" s="4">
        <v>8</v>
      </c>
      <c r="B9" s="5" t="s">
        <v>21</v>
      </c>
      <c r="C9" s="6">
        <v>124.23</v>
      </c>
      <c r="D9" s="6">
        <f t="shared" si="7"/>
        <v>41.970218074380114</v>
      </c>
      <c r="E9" s="7">
        <f t="shared" si="8"/>
        <v>41.970218074380114</v>
      </c>
      <c r="F9" s="7">
        <f t="shared" si="0"/>
        <v>41.970218074380114</v>
      </c>
      <c r="G9" s="8">
        <f t="shared" si="9"/>
        <v>1</v>
      </c>
      <c r="H9" s="8">
        <f t="shared" si="1"/>
        <v>0.5104140934401757</v>
      </c>
      <c r="I9" s="8">
        <f t="shared" si="2"/>
        <v>0.5104140934401757</v>
      </c>
      <c r="J9" s="9">
        <v>16</v>
      </c>
      <c r="K9" s="9">
        <v>6</v>
      </c>
      <c r="L9" s="9">
        <v>18</v>
      </c>
      <c r="M9" s="10">
        <f t="shared" si="3"/>
        <v>54</v>
      </c>
      <c r="N9" s="8">
        <f t="shared" si="10"/>
        <v>0.6331147540983606</v>
      </c>
      <c r="O9" s="8">
        <f t="shared" si="4"/>
        <v>14.969480600298553</v>
      </c>
      <c r="P9" s="8">
        <f t="shared" si="5"/>
        <v>35.746550917711645</v>
      </c>
      <c r="Q9" s="11">
        <f t="shared" si="6"/>
        <v>16.10508857095766</v>
      </c>
      <c r="R9" s="38">
        <f t="shared" si="11"/>
        <v>54</v>
      </c>
      <c r="S9" s="38"/>
    </row>
    <row r="10" spans="1:19" ht="12.75">
      <c r="A10" s="4">
        <v>9</v>
      </c>
      <c r="B10" s="5" t="s">
        <v>22</v>
      </c>
      <c r="C10" s="6">
        <v>121.36</v>
      </c>
      <c r="D10" s="6">
        <f t="shared" si="7"/>
        <v>39.40563847356547</v>
      </c>
      <c r="E10" s="7">
        <f t="shared" si="8"/>
        <v>39.40563847356547</v>
      </c>
      <c r="F10" s="7">
        <f t="shared" si="0"/>
        <v>39.40563847356547</v>
      </c>
      <c r="G10" s="8">
        <f t="shared" si="9"/>
        <v>1</v>
      </c>
      <c r="H10" s="8">
        <f t="shared" si="1"/>
        <v>0.4828872063096329</v>
      </c>
      <c r="I10" s="8">
        <f t="shared" si="2"/>
        <v>0.4828872063096329</v>
      </c>
      <c r="J10" s="9">
        <v>9</v>
      </c>
      <c r="K10" s="9">
        <v>8</v>
      </c>
      <c r="L10" s="9">
        <v>-7</v>
      </c>
      <c r="M10" s="10">
        <f t="shared" si="3"/>
        <v>35</v>
      </c>
      <c r="N10" s="8">
        <f t="shared" si="10"/>
        <v>0.43366120218579235</v>
      </c>
      <c r="O10" s="8">
        <f t="shared" si="4"/>
        <v>-6.005572503108546</v>
      </c>
      <c r="P10" s="8">
        <f t="shared" si="5"/>
        <v>14.77149781430455</v>
      </c>
      <c r="Q10" s="11">
        <f t="shared" si="6"/>
        <v>6.6550834840742565</v>
      </c>
      <c r="R10" s="38">
        <f t="shared" si="11"/>
        <v>35</v>
      </c>
      <c r="S10" s="38"/>
    </row>
    <row r="11" spans="1:19" ht="12.75">
      <c r="A11" s="4">
        <v>10</v>
      </c>
      <c r="B11" s="5" t="s">
        <v>23</v>
      </c>
      <c r="C11" s="6">
        <v>120.09</v>
      </c>
      <c r="D11" s="6">
        <f t="shared" si="7"/>
        <v>38.272950556405824</v>
      </c>
      <c r="E11" s="7">
        <f t="shared" si="8"/>
        <v>38.272950556405824</v>
      </c>
      <c r="F11" s="7">
        <f t="shared" si="0"/>
        <v>38.272950556405824</v>
      </c>
      <c r="G11" s="8">
        <f t="shared" si="9"/>
        <v>1</v>
      </c>
      <c r="H11" s="8">
        <f t="shared" si="1"/>
        <v>0.4707295129239884</v>
      </c>
      <c r="I11" s="8">
        <f t="shared" si="2"/>
        <v>0.4707295129239884</v>
      </c>
      <c r="J11" s="9">
        <v>12</v>
      </c>
      <c r="K11" s="9">
        <v>6</v>
      </c>
      <c r="L11" s="9">
        <v>-4</v>
      </c>
      <c r="M11" s="10">
        <f t="shared" si="3"/>
        <v>42</v>
      </c>
      <c r="N11" s="8">
        <f t="shared" si="10"/>
        <v>0.49956284153005465</v>
      </c>
      <c r="O11" s="8">
        <f t="shared" si="4"/>
        <v>3.517666089940082</v>
      </c>
      <c r="P11" s="8">
        <f t="shared" si="5"/>
        <v>24.294736407353177</v>
      </c>
      <c r="Q11" s="11">
        <f t="shared" si="6"/>
        <v>10.945640113620788</v>
      </c>
      <c r="R11" s="38">
        <f t="shared" si="11"/>
        <v>42</v>
      </c>
      <c r="S11" s="38"/>
    </row>
    <row r="12" spans="1:19" ht="12.75">
      <c r="A12" s="4">
        <v>11</v>
      </c>
      <c r="B12" s="5" t="s">
        <v>24</v>
      </c>
      <c r="C12" s="6">
        <v>119.09</v>
      </c>
      <c r="D12" s="6">
        <f t="shared" si="7"/>
        <v>37.38327466669717</v>
      </c>
      <c r="E12" s="7">
        <f t="shared" si="8"/>
        <v>37.38327466669717</v>
      </c>
      <c r="F12" s="7">
        <f t="shared" si="0"/>
        <v>37.38327466669717</v>
      </c>
      <c r="G12" s="8">
        <f t="shared" si="9"/>
        <v>1</v>
      </c>
      <c r="H12" s="8">
        <f t="shared" si="1"/>
        <v>0.4611801864803888</v>
      </c>
      <c r="I12" s="8">
        <f t="shared" si="2"/>
        <v>0.4611801864803888</v>
      </c>
      <c r="J12" s="9">
        <v>9</v>
      </c>
      <c r="K12" s="9">
        <v>12</v>
      </c>
      <c r="L12" s="9">
        <v>4</v>
      </c>
      <c r="M12" s="10">
        <f t="shared" si="3"/>
        <v>39</v>
      </c>
      <c r="N12" s="8">
        <f t="shared" si="10"/>
        <v>0.5004371584699454</v>
      </c>
      <c r="O12" s="8">
        <f t="shared" si="4"/>
        <v>4.789350582725909</v>
      </c>
      <c r="P12" s="8">
        <f t="shared" si="5"/>
        <v>25.566420900139004</v>
      </c>
      <c r="Q12" s="11">
        <f t="shared" si="6"/>
        <v>11.518579064787723</v>
      </c>
      <c r="R12" s="38">
        <f t="shared" si="11"/>
        <v>39</v>
      </c>
      <c r="S12" s="38"/>
    </row>
    <row r="13" spans="1:19" ht="12.75">
      <c r="A13" s="4">
        <v>12</v>
      </c>
      <c r="B13" s="5" t="s">
        <v>25</v>
      </c>
      <c r="C13" s="6">
        <v>115.52</v>
      </c>
      <c r="D13" s="6">
        <f t="shared" si="7"/>
        <v>34.23315324113024</v>
      </c>
      <c r="E13" s="7">
        <f t="shared" si="8"/>
        <v>34.23315324113024</v>
      </c>
      <c r="F13" s="7">
        <f t="shared" si="0"/>
        <v>34.23315324113024</v>
      </c>
      <c r="G13" s="8">
        <f t="shared" si="9"/>
        <v>1</v>
      </c>
      <c r="H13" s="8">
        <f t="shared" si="1"/>
        <v>0.4273683925701741</v>
      </c>
      <c r="I13" s="8">
        <f t="shared" si="2"/>
        <v>0.4273683925701741</v>
      </c>
      <c r="J13" s="9">
        <v>10</v>
      </c>
      <c r="K13" s="9">
        <v>10</v>
      </c>
      <c r="L13" s="9">
        <v>-2</v>
      </c>
      <c r="M13" s="10">
        <f t="shared" si="3"/>
        <v>40</v>
      </c>
      <c r="N13" s="8">
        <f t="shared" si="10"/>
        <v>0.49978142076502735</v>
      </c>
      <c r="O13" s="8">
        <f t="shared" si="4"/>
        <v>8.834389439772094</v>
      </c>
      <c r="P13" s="8">
        <f t="shared" si="5"/>
        <v>29.611459757185187</v>
      </c>
      <c r="Q13" s="11">
        <f t="shared" si="6"/>
        <v>13.341012485445821</v>
      </c>
      <c r="R13" s="38">
        <f t="shared" si="11"/>
        <v>40</v>
      </c>
      <c r="S13" s="38"/>
    </row>
    <row r="14" spans="1:19" ht="12.75">
      <c r="A14" s="4">
        <v>13</v>
      </c>
      <c r="B14" s="5" t="s">
        <v>26</v>
      </c>
      <c r="C14" s="6">
        <v>114.36</v>
      </c>
      <c r="D14" s="6">
        <f t="shared" si="7"/>
        <v>33.2216068696463</v>
      </c>
      <c r="E14" s="7">
        <f t="shared" si="8"/>
        <v>33.2216068696463</v>
      </c>
      <c r="F14" s="7">
        <f t="shared" si="0"/>
        <v>33.2216068696463</v>
      </c>
      <c r="G14" s="8">
        <f t="shared" si="9"/>
        <v>1</v>
      </c>
      <c r="H14" s="8">
        <f t="shared" si="1"/>
        <v>0.416510970641721</v>
      </c>
      <c r="I14" s="8">
        <f t="shared" si="2"/>
        <v>0.416510970641721</v>
      </c>
      <c r="J14" s="9">
        <v>4</v>
      </c>
      <c r="K14" s="9">
        <v>8</v>
      </c>
      <c r="L14" s="9">
        <v>-27</v>
      </c>
      <c r="M14" s="10">
        <f t="shared" si="3"/>
        <v>20</v>
      </c>
      <c r="N14" s="8">
        <f t="shared" si="10"/>
        <v>0.26754098360655737</v>
      </c>
      <c r="O14" s="8">
        <f t="shared" si="4"/>
        <v>-18.174338418289963</v>
      </c>
      <c r="P14" s="8">
        <f t="shared" si="5"/>
        <v>2.602731899123132</v>
      </c>
      <c r="Q14" s="11">
        <f t="shared" si="6"/>
        <v>1.1726229995819202</v>
      </c>
      <c r="R14" s="38">
        <f t="shared" si="11"/>
        <v>20</v>
      </c>
      <c r="S14" s="38"/>
    </row>
    <row r="15" spans="1:19" ht="12.75">
      <c r="A15" s="4">
        <v>14</v>
      </c>
      <c r="B15" s="5" t="s">
        <v>27</v>
      </c>
      <c r="C15" s="6">
        <v>113.64</v>
      </c>
      <c r="D15" s="6">
        <f t="shared" si="7"/>
        <v>32.5974598870696</v>
      </c>
      <c r="E15" s="7">
        <f t="shared" si="8"/>
        <v>32.5974598870696</v>
      </c>
      <c r="F15" s="7">
        <f t="shared" si="0"/>
        <v>32.5974598870696</v>
      </c>
      <c r="G15" s="8">
        <f t="shared" si="9"/>
        <v>1</v>
      </c>
      <c r="H15" s="8">
        <f t="shared" si="1"/>
        <v>0.4098116958222534</v>
      </c>
      <c r="I15" s="8">
        <f t="shared" si="2"/>
        <v>0.4098116958222534</v>
      </c>
      <c r="J15" s="9">
        <v>8</v>
      </c>
      <c r="K15" s="9">
        <v>11</v>
      </c>
      <c r="L15" s="9">
        <v>-3</v>
      </c>
      <c r="M15" s="10">
        <f t="shared" si="3"/>
        <v>35</v>
      </c>
      <c r="N15" s="8">
        <f t="shared" si="10"/>
        <v>0.45049180327868854</v>
      </c>
      <c r="O15" s="8">
        <f t="shared" si="4"/>
        <v>4.962973109685086</v>
      </c>
      <c r="P15" s="8">
        <f t="shared" si="5"/>
        <v>25.74004342709818</v>
      </c>
      <c r="Q15" s="11">
        <f t="shared" si="6"/>
        <v>11.596802168913987</v>
      </c>
      <c r="R15" s="38">
        <f t="shared" si="11"/>
        <v>35</v>
      </c>
      <c r="S15" s="38"/>
    </row>
    <row r="16" spans="1:19" ht="12.75">
      <c r="A16" s="4">
        <v>15</v>
      </c>
      <c r="B16" s="5" t="s">
        <v>28</v>
      </c>
      <c r="C16" s="6">
        <v>112.86</v>
      </c>
      <c r="D16" s="6">
        <f t="shared" si="7"/>
        <v>31.924808777864158</v>
      </c>
      <c r="E16" s="7">
        <f t="shared" si="8"/>
        <v>31.924808777864158</v>
      </c>
      <c r="F16" s="7">
        <f t="shared" si="0"/>
        <v>31.924808777864158</v>
      </c>
      <c r="G16" s="8">
        <f t="shared" si="9"/>
        <v>1</v>
      </c>
      <c r="H16" s="8">
        <f t="shared" si="1"/>
        <v>0.40259180248946275</v>
      </c>
      <c r="I16" s="8">
        <f t="shared" si="2"/>
        <v>0.40259180248946275</v>
      </c>
      <c r="J16" s="9">
        <v>7</v>
      </c>
      <c r="K16" s="9">
        <v>6</v>
      </c>
      <c r="L16" s="9">
        <v>-18</v>
      </c>
      <c r="M16" s="10">
        <f t="shared" si="3"/>
        <v>27</v>
      </c>
      <c r="N16" s="8">
        <f t="shared" si="10"/>
        <v>0.33409836065573767</v>
      </c>
      <c r="O16" s="8">
        <f t="shared" si="4"/>
        <v>-8.35619990371446</v>
      </c>
      <c r="P16" s="8">
        <f t="shared" si="5"/>
        <v>12.420870413698635</v>
      </c>
      <c r="Q16" s="11">
        <f t="shared" si="6"/>
        <v>5.596042499358697</v>
      </c>
      <c r="R16" s="38">
        <f t="shared" si="11"/>
        <v>27</v>
      </c>
      <c r="S16" s="38"/>
    </row>
    <row r="17" spans="1:19" ht="13.5" thickBot="1">
      <c r="A17" s="12">
        <v>16</v>
      </c>
      <c r="B17" s="13" t="s">
        <v>29</v>
      </c>
      <c r="C17" s="14">
        <v>112.3</v>
      </c>
      <c r="D17" s="14">
        <f t="shared" si="7"/>
        <v>31.44427626289795</v>
      </c>
      <c r="E17" s="15">
        <f t="shared" si="8"/>
        <v>31.44427626289795</v>
      </c>
      <c r="F17" s="15">
        <f t="shared" si="0"/>
        <v>31.44427626289795</v>
      </c>
      <c r="G17" s="16">
        <f t="shared" si="9"/>
        <v>1</v>
      </c>
      <c r="H17" s="16">
        <f t="shared" si="1"/>
        <v>0.3974340119892853</v>
      </c>
      <c r="I17" s="16">
        <f t="shared" si="2"/>
        <v>0.3974340119892853</v>
      </c>
      <c r="J17" s="17">
        <v>8</v>
      </c>
      <c r="K17" s="17">
        <v>7</v>
      </c>
      <c r="L17" s="17">
        <v>-14</v>
      </c>
      <c r="M17" s="18">
        <f t="shared" si="3"/>
        <v>31</v>
      </c>
      <c r="N17" s="16">
        <f t="shared" si="10"/>
        <v>0.38371584699453554</v>
      </c>
      <c r="O17" s="16">
        <f t="shared" si="4"/>
        <v>-1.6736161293594707</v>
      </c>
      <c r="P17" s="16">
        <f t="shared" si="5"/>
        <v>19.103454188053625</v>
      </c>
      <c r="Q17" s="19">
        <f t="shared" si="6"/>
        <v>8.606783418575787</v>
      </c>
      <c r="R17" s="38">
        <f t="shared" si="11"/>
        <v>31</v>
      </c>
      <c r="S17" s="38"/>
    </row>
    <row r="18" spans="1:17" ht="5.25" customHeight="1">
      <c r="A18" s="20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21"/>
      <c r="P18" s="3"/>
      <c r="Q18" s="1"/>
    </row>
    <row r="19" spans="1:17" ht="12.75">
      <c r="A19" s="20"/>
      <c r="B19" s="3" t="s">
        <v>30</v>
      </c>
      <c r="C19" s="7">
        <f>SUM(C2:C17)/16</f>
        <v>123.14437499999998</v>
      </c>
      <c r="D19" s="3" t="s">
        <v>31</v>
      </c>
      <c r="E19" s="3"/>
      <c r="F19" s="3"/>
      <c r="G19" s="3"/>
      <c r="H19" s="3"/>
      <c r="I19" s="3"/>
      <c r="J19" s="3"/>
      <c r="K19" s="3"/>
      <c r="L19" s="3"/>
      <c r="M19" s="3"/>
      <c r="N19" s="22" t="s">
        <v>32</v>
      </c>
      <c r="O19" s="23">
        <f>MIN(O2:O17)</f>
        <v>-20.777070317413095</v>
      </c>
      <c r="P19" s="3"/>
      <c r="Q19" s="1"/>
    </row>
    <row r="20" spans="1:17" ht="12.75">
      <c r="A20" s="20"/>
      <c r="B20" s="3" t="s">
        <v>33</v>
      </c>
      <c r="C20" s="9">
        <v>30</v>
      </c>
      <c r="D20" s="3" t="s">
        <v>34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22" t="s">
        <v>35</v>
      </c>
      <c r="P20" s="23">
        <f>SUM(P2:P17)</f>
        <v>332.9371716294701</v>
      </c>
      <c r="Q20" s="1"/>
    </row>
    <row r="21" spans="1:17" ht="12.75">
      <c r="A21" s="20"/>
      <c r="B21" s="3" t="s">
        <v>36</v>
      </c>
      <c r="C21" s="9">
        <v>150</v>
      </c>
      <c r="D21" s="3" t="s">
        <v>37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22" t="s">
        <v>38</v>
      </c>
      <c r="P21" s="24">
        <f>P20/C21</f>
        <v>2.219581144196467</v>
      </c>
      <c r="Q21" s="1"/>
    </row>
    <row r="22" spans="1:17" ht="5.25" customHeight="1">
      <c r="A22" s="20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1"/>
    </row>
    <row r="23" spans="1:17" ht="12.75">
      <c r="A23" s="20"/>
      <c r="B23" s="9"/>
      <c r="C23" s="3" t="s">
        <v>39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1"/>
    </row>
    <row r="24" spans="1:17" ht="12.75">
      <c r="A24" s="20"/>
      <c r="B24" s="10"/>
      <c r="C24" s="3" t="s">
        <v>40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1"/>
    </row>
    <row r="25" spans="1:17" ht="5.25" customHeight="1">
      <c r="A25" s="20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1"/>
    </row>
    <row r="26" spans="1:17" ht="12.75">
      <c r="A26" s="20"/>
      <c r="B26" s="3" t="s">
        <v>41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1"/>
    </row>
    <row r="27" spans="1:17" ht="12.75">
      <c r="A27" s="20"/>
      <c r="B27" s="3" t="s">
        <v>42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1"/>
    </row>
    <row r="28" spans="1:17" ht="12.75">
      <c r="A28" s="20"/>
      <c r="B28" s="3" t="s">
        <v>43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1"/>
    </row>
    <row r="29" spans="1:17" ht="3.75" customHeight="1">
      <c r="A29" s="20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1"/>
    </row>
    <row r="30" spans="1:17" ht="12.75">
      <c r="A30" s="20"/>
      <c r="B30" s="3" t="s">
        <v>44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1"/>
    </row>
    <row r="31" spans="1:17" ht="12.75">
      <c r="A31" s="20"/>
      <c r="B31" s="3" t="s">
        <v>52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1"/>
    </row>
    <row r="32" spans="1:17" ht="12.75">
      <c r="A32" s="20"/>
      <c r="B32" s="3" t="s">
        <v>53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1"/>
    </row>
    <row r="33" spans="1:17" ht="12.75">
      <c r="A33" s="20"/>
      <c r="B33" s="3" t="s">
        <v>54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1"/>
    </row>
    <row r="34" spans="1:17" ht="12.75">
      <c r="A34" s="20"/>
      <c r="B34" s="3" t="s">
        <v>45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1"/>
    </row>
    <row r="35" spans="1:17" ht="12.75">
      <c r="A35" s="20"/>
      <c r="B35" s="3" t="s">
        <v>55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1"/>
    </row>
    <row r="36" spans="1:17" ht="12.75">
      <c r="A36" s="20"/>
      <c r="B36" s="3" t="s">
        <v>46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1"/>
    </row>
    <row r="37" spans="1:17" ht="12.75">
      <c r="A37" s="20"/>
      <c r="B37" s="3" t="s">
        <v>47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1"/>
    </row>
    <row r="38" spans="1:17" ht="12.75">
      <c r="A38" s="20"/>
      <c r="B38" s="3" t="s">
        <v>50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1"/>
    </row>
    <row r="39" spans="1:17" ht="12.75">
      <c r="A39" s="20"/>
      <c r="B39" s="3" t="s">
        <v>48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1"/>
    </row>
    <row r="40" spans="1:17" ht="12.75">
      <c r="A40" s="20"/>
      <c r="B40" s="3" t="s">
        <v>49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1"/>
    </row>
    <row r="41" spans="1:17" ht="12.75">
      <c r="A41" s="20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1"/>
    </row>
    <row r="42" spans="1:17" ht="12.75">
      <c r="A42" s="20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1"/>
    </row>
    <row r="43" spans="1:17" ht="12.75">
      <c r="A43" s="20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1"/>
    </row>
    <row r="44" spans="1:17" ht="12.75">
      <c r="A44" s="20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1"/>
    </row>
    <row r="45" spans="1:17" ht="12.75">
      <c r="A45" s="20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1"/>
    </row>
    <row r="46" spans="1:17" ht="12.75">
      <c r="A46" s="20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1"/>
    </row>
    <row r="47" spans="1:17" ht="12.75">
      <c r="A47" s="20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1"/>
    </row>
    <row r="48" spans="1:17" ht="12.75">
      <c r="A48" s="20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1"/>
    </row>
    <row r="49" spans="1:17" ht="12.75">
      <c r="A49" s="20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1"/>
    </row>
    <row r="50" spans="1:17" ht="12.75">
      <c r="A50" s="20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"/>
    </row>
    <row r="51" spans="1:17" ht="12.75">
      <c r="A51" s="20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"/>
    </row>
    <row r="52" spans="1:17" ht="12.75">
      <c r="A52" s="20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"/>
    </row>
    <row r="53" spans="1:17" ht="12.75">
      <c r="A53" s="20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"/>
    </row>
    <row r="54" spans="1:17" ht="12.75">
      <c r="A54" s="20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1"/>
    </row>
    <row r="55" spans="1:17" ht="12.75">
      <c r="A55" s="20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1"/>
    </row>
    <row r="56" spans="1:17" ht="12.75">
      <c r="A56" s="20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1"/>
    </row>
    <row r="57" spans="1:17" ht="12.75">
      <c r="A57" s="20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1"/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SergeyZ</dc:creator>
  <cp:keywords/>
  <dc:description/>
  <cp:lastModifiedBy>Serg</cp:lastModifiedBy>
  <dcterms:created xsi:type="dcterms:W3CDTF">2004-01-25T19:52:31Z</dcterms:created>
  <dcterms:modified xsi:type="dcterms:W3CDTF">2014-01-12T16:10:37Z</dcterms:modified>
  <cp:category/>
  <cp:version/>
  <cp:contentType/>
  <cp:contentStatus/>
</cp:coreProperties>
</file>